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180" yWindow="0" windowWidth="25600" windowHeight="15080" tabRatio="500"/>
  </bookViews>
  <sheets>
    <sheet name="Patient X" sheetId="2" r:id="rId1"/>
  </sheets>
  <externalReferences>
    <externalReference r:id="rId2"/>
  </externalReferences>
  <definedNames>
    <definedName name="ACC_MAX_MOY">'Patient X'!$I$4</definedName>
    <definedName name="ACC_MAX_ODG">'Patient X'!#REF!</definedName>
    <definedName name="ACsurA_Calc" localSheetId="0">'Patient X'!$C$44</definedName>
    <definedName name="ACsurA_Grad" localSheetId="0">'Patient X'!$C$45</definedName>
    <definedName name="C_VL_Bris" localSheetId="0">'Patient X'!$C$18</definedName>
    <definedName name="C_VL_Flou" localSheetId="0">'Patient X'!$C$17</definedName>
    <definedName name="C_VP_Bris" localSheetId="0">'Patient X'!$C$26</definedName>
    <definedName name="C_VP_Flou" localSheetId="0">'Patient X'!$C$25</definedName>
    <definedName name="Confort_VL_max" localSheetId="0">'Patient X'!$F$56</definedName>
    <definedName name="Confort_VL_min" localSheetId="0">'Patient X'!$C$56</definedName>
    <definedName name="Confort_VP_max" localSheetId="0">'Patient X'!$F$57</definedName>
    <definedName name="Confort_VP_min" localSheetId="0">'Patient X'!$C$57</definedName>
    <definedName name="D_VL_Bris" localSheetId="0">'Patient X'!$C$14</definedName>
    <definedName name="D_VP_Bris" localSheetId="0">'Patient X'!$C$22</definedName>
    <definedName name="D_VP_Flou" localSheetId="0">'Patient X'!$C$21</definedName>
    <definedName name="DIFF_M2_?">'Patient X'!$C$37</definedName>
    <definedName name="DIFF_M3_?">'Patient X'!$C$32</definedName>
    <definedName name="DIFF_P12_?" localSheetId="0">'Patient X'!$C$31</definedName>
    <definedName name="DIFF_P2_?">'Patient X'!$C$36</definedName>
    <definedName name="DIP" localSheetId="0">'Patient X'!$C$4</definedName>
    <definedName name="NRA" localSheetId="0">'Patient X'!#REF!</definedName>
    <definedName name="PHORIE_VL" localSheetId="0">'Patient X'!$C$7</definedName>
    <definedName name="PHORIE_VP" localSheetId="0">'Patient X'!$C$8</definedName>
    <definedName name="PHORIE_VP_GRAD_N" localSheetId="0">'Patient X'!$C$10</definedName>
    <definedName name="PHORIE_VP_GRAD_P">'Patient X'!#REF!</definedName>
    <definedName name="PPC">'Patient X'!$C$40</definedName>
    <definedName name="PRA" localSheetId="0">'Patient X'!#REF!</definedName>
    <definedName name="ZBSN_VL" localSheetId="0">'Patient X'!$C$50</definedName>
    <definedName name="ZBSN_VP" localSheetId="0">'Patient X'!$C$52</definedName>
    <definedName name="_xlnm.Print_Area" localSheetId="0">'Patient X'!$L$1:$T$37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2" l="1"/>
  <c r="E34" i="2"/>
  <c r="J4" i="2"/>
  <c r="I4" i="2"/>
  <c r="H4" i="2"/>
  <c r="D65" i="2"/>
  <c r="C65" i="2"/>
  <c r="C63" i="2"/>
  <c r="C62" i="2"/>
  <c r="D59" i="2"/>
  <c r="C59" i="2"/>
  <c r="C52" i="2"/>
  <c r="F57" i="2"/>
  <c r="C57" i="2"/>
  <c r="I57" i="2"/>
  <c r="C50" i="2"/>
  <c r="F56" i="2"/>
  <c r="C56" i="2"/>
  <c r="I56" i="2"/>
  <c r="C53" i="2"/>
  <c r="C51" i="2"/>
  <c r="C48" i="2"/>
  <c r="C47" i="2"/>
  <c r="C45" i="2"/>
  <c r="C44" i="2"/>
  <c r="O35" i="2"/>
  <c r="T34" i="2"/>
  <c r="O34" i="2"/>
  <c r="T33" i="2"/>
  <c r="O33" i="2"/>
  <c r="T32" i="2"/>
  <c r="R32" i="2"/>
  <c r="O32" i="2"/>
  <c r="M32" i="2"/>
  <c r="T31" i="2"/>
  <c r="O31" i="2"/>
  <c r="M31" i="2"/>
  <c r="S27" i="2"/>
  <c r="O27" i="2"/>
  <c r="F22" i="2"/>
  <c r="F21" i="2"/>
  <c r="T1" i="2"/>
  <c r="Q1" i="2"/>
</calcChain>
</file>

<file path=xl/sharedStrings.xml><?xml version="1.0" encoding="utf-8"?>
<sst xmlns="http://schemas.openxmlformats.org/spreadsheetml/2006/main" count="98" uniqueCount="79">
  <si>
    <t xml:space="preserve">NOM / Prénom : </t>
  </si>
  <si>
    <t xml:space="preserve">Age : </t>
  </si>
  <si>
    <t>Patient X</t>
  </si>
  <si>
    <t>DIP :</t>
  </si>
  <si>
    <t>Mesures</t>
  </si>
  <si>
    <t>Distance cible</t>
  </si>
  <si>
    <t>Demande accommodative</t>
  </si>
  <si>
    <t>Valeurs attendues</t>
  </si>
  <si>
    <t>SD</t>
  </si>
  <si>
    <t>PHORIE :</t>
  </si>
  <si>
    <t>VL</t>
  </si>
  <si>
    <t>ASC :</t>
  </si>
  <si>
    <t>VP</t>
  </si>
  <si>
    <r>
      <rPr>
        <sz val="12"/>
        <color rgb="FF000000"/>
        <rFont val="Arial Bold"/>
      </rPr>
      <t>ASC -1,0</t>
    </r>
    <r>
      <rPr>
        <sz val="12"/>
        <color rgb="FF000000"/>
        <rFont val="STIXGeneral Italic"/>
        <family val="2"/>
      </rPr>
      <t>𝛿</t>
    </r>
    <r>
      <rPr>
        <sz val="12"/>
        <color rgb="FF000000"/>
        <rFont val="Arial Bold"/>
      </rPr>
      <t xml:space="preserve"> :</t>
    </r>
  </si>
  <si>
    <t>VERGENCES :</t>
  </si>
  <si>
    <t>Divergence :</t>
  </si>
  <si>
    <t>- point de bris</t>
  </si>
  <si>
    <t>Convergence :</t>
  </si>
  <si>
    <t>- point de flou</t>
  </si>
  <si>
    <t>AC/A hétérophorie :</t>
  </si>
  <si>
    <t>AC/A gradient :</t>
  </si>
  <si>
    <t>min*</t>
  </si>
  <si>
    <t>moy*</t>
  </si>
  <si>
    <t>max*</t>
  </si>
  <si>
    <t>Vergences Fusionnelles POSITIVES</t>
  </si>
  <si>
    <t>Vergences Fusionnelles NEGATIVES</t>
  </si>
  <si>
    <t>C flou :</t>
  </si>
  <si>
    <t>C bris :</t>
  </si>
  <si>
    <t xml:space="preserve">D flou : </t>
  </si>
  <si>
    <t>Sans Objet</t>
  </si>
  <si>
    <t>D bris :</t>
  </si>
  <si>
    <t>C' flou :</t>
  </si>
  <si>
    <t>C' bris</t>
  </si>
  <si>
    <t>D' flou :</t>
  </si>
  <si>
    <t>D' bris :</t>
  </si>
  <si>
    <t>* formule de Hofstetter</t>
  </si>
  <si>
    <t>Rock Acc Diff sur +2 ? :</t>
  </si>
  <si>
    <t>Rock Acc Diff sur -2 ? :</t>
  </si>
  <si>
    <t>Facil. Verg. Diff sur +12 ? :</t>
  </si>
  <si>
    <t>Facil. Verg. Diff sur -3 ? :</t>
  </si>
  <si>
    <t>PPC :</t>
  </si>
  <si>
    <t>n.m. :</t>
  </si>
  <si>
    <t>"non mesuré"</t>
  </si>
  <si>
    <t>FACILITÉS DE VERGENCE :</t>
  </si>
  <si>
    <t>Nbre Cycle +12/-3 :</t>
  </si>
  <si>
    <t>Diff sur +12 ? :</t>
  </si>
  <si>
    <t>1=VRAI / 0 = FAUX</t>
  </si>
  <si>
    <t>Diff sur -3 ? :</t>
  </si>
  <si>
    <t>ROCK ACCOMMODATIF :</t>
  </si>
  <si>
    <t>Distance :</t>
  </si>
  <si>
    <t>Puissance :</t>
  </si>
  <si>
    <t>Nbre Cycle +2/-2 :</t>
  </si>
  <si>
    <t>Diff sur +2 ? :</t>
  </si>
  <si>
    <t>Diff sur -2 ? :</t>
  </si>
  <si>
    <t>PONTUM PROXIMUM CONVERGENCE :</t>
  </si>
  <si>
    <t>RESULTATS :</t>
  </si>
  <si>
    <t>AC/A hétérophorie= PIDcm +(DIST VP m x (PHO VP - PHO VL)</t>
  </si>
  <si>
    <r>
      <t>AC/A Gradient = basé sur rapport entre phorie Vp avec et sans -1,0</t>
    </r>
    <r>
      <rPr>
        <i/>
        <sz val="8"/>
        <color theme="0" tint="-0.499984740745262"/>
        <rFont val="STIXGeneral-Italic"/>
      </rPr>
      <t>𝛿</t>
    </r>
    <r>
      <rPr>
        <i/>
        <sz val="12"/>
        <color theme="0" tint="-0.499984740745262"/>
        <rFont val="STIXGeneral Italic"/>
      </rPr>
      <t/>
    </r>
  </si>
  <si>
    <t>Convergence requise :</t>
  </si>
  <si>
    <t>Cr = 10 x PIDmm / (DISTcm + 2,7cm)</t>
  </si>
  <si>
    <t>Etendues des Réserves :</t>
  </si>
  <si>
    <t xml:space="preserve"> Réserves Relatives VL :</t>
  </si>
  <si>
    <t>ZBSN VL</t>
  </si>
  <si>
    <t>Réserves Fusionnelles VL :</t>
  </si>
  <si>
    <t>Réserves Relatives VP :</t>
  </si>
  <si>
    <t>ZBSN VP</t>
  </si>
  <si>
    <t>Réserves Fusionnelles VP :</t>
  </si>
  <si>
    <t>Zone de confort de PERCIVAL :</t>
  </si>
  <si>
    <t>(Plutôt valable pour les esophores)</t>
  </si>
  <si>
    <t>Zone de confort en VL :</t>
  </si>
  <si>
    <t>Zone de confort en VP :</t>
  </si>
  <si>
    <t>PERCIVAL = VB confortable si la convergence a mettre en jeu se trouve dans le tier-milieu des réserves fusionnelles</t>
  </si>
  <si>
    <t>Prisme nécessaire P ?</t>
  </si>
  <si>
    <t>Critère de SHEARD :</t>
  </si>
  <si>
    <t>(Plutôt valable pour les exophores)</t>
  </si>
  <si>
    <t>Critère vérifié en VL ?</t>
  </si>
  <si>
    <t>Critère vérifié en VP ?</t>
  </si>
  <si>
    <t>SHEARD = VB confortable tant que l'effort à fournir pour fusionner est inférieur ou égal à la moitié de la réserve fusionnelle de même sens</t>
  </si>
  <si>
    <t>ACCOMMODATION MAXI / AGE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</si>
</sst>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\ &quot;cm&quot;"/>
    <numFmt numFmtId="165" formatCode="#,##0.00\ &quot;cm&quot;"/>
    <numFmt numFmtId="166" formatCode="&quot;+/-&quot;#0.00\ &quot;cm&quot;"/>
    <numFmt numFmtId="167" formatCode="#,##0\ \△"/>
    <numFmt numFmtId="168" formatCode="#,##0.00\ &quot;m&quot;"/>
    <numFmt numFmtId="169" formatCode="#,##0.00\ &quot;𝛿&quot;"/>
    <numFmt numFmtId="170" formatCode="#,##0.0\ \△"/>
    <numFmt numFmtId="171" formatCode="&quot;+/-&quot;#0\ \△"/>
    <numFmt numFmtId="172" formatCode="0.0"/>
    <numFmt numFmtId="173" formatCode="#,##0.0&quot;:1&quot;"/>
    <numFmt numFmtId="174" formatCode="&quot;+/-&quot;#0.00\ &quot;𝛿&quot;"/>
    <numFmt numFmtId="175" formatCode="#,##0\ &quot;cpm&quot;"/>
    <numFmt numFmtId="176" formatCode="&quot;+/-&quot;#0\ &quot;cpm&quot;"/>
    <numFmt numFmtId="177" formatCode="&quot;+/-&quot;#0\ &quot;cm&quot;"/>
    <numFmt numFmtId="178" formatCode="&quot;+/-&quot;#0"/>
  </numFmts>
  <fonts count="23" x14ac:knownFonts="1">
    <font>
      <sz val="12"/>
      <color theme="1"/>
      <name val="Arial"/>
      <family val="2"/>
    </font>
    <font>
      <sz val="12"/>
      <color rgb="FF3F3F76"/>
      <name val="Arial"/>
      <family val="2"/>
    </font>
    <font>
      <b/>
      <sz val="12"/>
      <color rgb="FFFA7D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3F3F76"/>
      <name val="Arial"/>
      <family val="2"/>
    </font>
    <font>
      <sz val="12"/>
      <color theme="0" tint="-0.499984740745262"/>
      <name val="Calibri"/>
      <family val="2"/>
      <scheme val="minor"/>
    </font>
    <font>
      <sz val="12"/>
      <color theme="1"/>
      <name val="Arial Black"/>
    </font>
    <font>
      <sz val="12"/>
      <color rgb="FF000000"/>
      <name val="Arial"/>
    </font>
    <font>
      <sz val="12"/>
      <color rgb="FF000000"/>
      <name val="Arial Bold"/>
    </font>
    <font>
      <sz val="12"/>
      <color rgb="FF000000"/>
      <name val="STIXGeneral Italic"/>
      <family val="2"/>
    </font>
    <font>
      <b/>
      <sz val="12"/>
      <color theme="1"/>
      <name val="Arial Black"/>
    </font>
    <font>
      <b/>
      <sz val="12"/>
      <name val="Arial"/>
    </font>
    <font>
      <b/>
      <sz val="14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i/>
      <sz val="8"/>
      <color theme="0" tint="-0.499984740745262"/>
      <name val="Calibri"/>
      <scheme val="minor"/>
    </font>
    <font>
      <i/>
      <sz val="8"/>
      <color theme="0" tint="-0.499984740745262"/>
      <name val="STIXGeneral-Italic"/>
    </font>
    <font>
      <i/>
      <sz val="12"/>
      <color theme="0" tint="-0.499984740745262"/>
      <name val="STIXGeneral Italic"/>
    </font>
    <font>
      <i/>
      <sz val="12"/>
      <color theme="0" tint="-0.499984740745262"/>
      <name val="Calibri"/>
      <scheme val="minor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rgb="FF7F7F7F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15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5" fillId="0" borderId="1" xfId="1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7" fontId="5" fillId="0" borderId="1" xfId="1" applyNumberFormat="1" applyFont="1" applyFill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169" fontId="6" fillId="0" borderId="0" xfId="0" applyNumberFormat="1" applyFont="1" applyAlignment="1">
      <alignment horizontal="center" vertical="center"/>
    </xf>
    <xf numFmtId="170" fontId="6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167" fontId="5" fillId="0" borderId="1" xfId="0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70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11" fillId="0" borderId="2" xfId="0" applyFont="1" applyBorder="1" applyAlignment="1">
      <alignment horizontal="center" vertical="center" textRotation="90"/>
    </xf>
    <xf numFmtId="49" fontId="4" fillId="0" borderId="0" xfId="0" applyNumberFormat="1" applyFont="1" applyAlignment="1">
      <alignment horizontal="right" vertical="center"/>
    </xf>
    <xf numFmtId="0" fontId="0" fillId="0" borderId="2" xfId="0" applyFont="1" applyBorder="1" applyAlignment="1">
      <alignment horizontal="center" vertical="center" textRotation="90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167" fontId="1" fillId="0" borderId="3" xfId="1" applyNumberFormat="1" applyFill="1" applyBorder="1" applyAlignment="1">
      <alignment horizontal="center" vertical="center"/>
    </xf>
    <xf numFmtId="168" fontId="6" fillId="0" borderId="0" xfId="0" applyNumberFormat="1" applyFont="1" applyFill="1" applyAlignment="1">
      <alignment horizontal="center" vertical="center"/>
    </xf>
    <xf numFmtId="169" fontId="6" fillId="0" borderId="0" xfId="0" applyNumberFormat="1" applyFont="1" applyFill="1" applyAlignment="1">
      <alignment horizontal="center" vertical="center"/>
    </xf>
    <xf numFmtId="170" fontId="6" fillId="0" borderId="0" xfId="0" applyNumberFormat="1" applyFont="1" applyFill="1" applyAlignment="1">
      <alignment horizontal="center" vertical="center"/>
    </xf>
    <xf numFmtId="171" fontId="6" fillId="0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173" fontId="12" fillId="3" borderId="1" xfId="2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4" xfId="0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7" fontId="12" fillId="0" borderId="1" xfId="1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/>
    <xf numFmtId="3" fontId="12" fillId="3" borderId="1" xfId="2" applyNumberFormat="1" applyFont="1" applyAlignment="1">
      <alignment horizontal="center" vertical="center"/>
    </xf>
    <xf numFmtId="164" fontId="12" fillId="3" borderId="1" xfId="2" applyNumberFormat="1" applyFont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vertical="top"/>
    </xf>
    <xf numFmtId="174" fontId="6" fillId="0" borderId="0" xfId="0" applyNumberFormat="1" applyFont="1" applyAlignment="1">
      <alignment horizontal="center" vertical="center"/>
    </xf>
    <xf numFmtId="175" fontId="12" fillId="3" borderId="1" xfId="2" applyNumberFormat="1" applyFont="1" applyAlignment="1">
      <alignment horizontal="center" vertical="center"/>
    </xf>
    <xf numFmtId="175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69" fontId="6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3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70" fontId="3" fillId="3" borderId="1" xfId="2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/>
    <xf numFmtId="167" fontId="12" fillId="3" borderId="1" xfId="2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170" fontId="12" fillId="3" borderId="1" xfId="2" applyNumberFormat="1" applyFont="1" applyAlignment="1">
      <alignment horizontal="center" vertical="center"/>
    </xf>
    <xf numFmtId="170" fontId="2" fillId="3" borderId="1" xfId="2" applyNumberFormat="1" applyAlignment="1">
      <alignment horizontal="center" vertical="center"/>
    </xf>
    <xf numFmtId="0" fontId="2" fillId="3" borderId="1" xfId="2" applyAlignment="1">
      <alignment horizontal="center" vertical="center"/>
    </xf>
  </cellXfs>
  <cellStyles count="15">
    <cellStyle name="Calcul" xfId="2" builtinId="22"/>
    <cellStyle name="Entrée" xfId="1" builtinId="20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24344569288389"/>
          <c:y val="0.0264227642276423"/>
          <c:w val="0.875096514860681"/>
          <c:h val="0.855593138151427"/>
        </c:manualLayout>
      </c:layout>
      <c:scatterChart>
        <c:scatterStyle val="lineMarker"/>
        <c:varyColors val="0"/>
        <c:ser>
          <c:idx val="3"/>
          <c:order val="0"/>
          <c:tx>
            <c:v>Bris Neg</c:v>
          </c:tx>
          <c:spPr>
            <a:ln w="66675">
              <a:noFill/>
            </a:ln>
          </c:spPr>
          <c:marker>
            <c:symbol val="square"/>
            <c:size val="13"/>
          </c:marker>
          <c:trendline>
            <c:trendlineType val="linear"/>
            <c:dispRSqr val="0"/>
            <c:dispEq val="0"/>
          </c:trendline>
          <c:xVal>
            <c:numRef>
              <c:f>('Patient X'!$C$14,'Patient X'!$C$22)</c:f>
              <c:numCache>
                <c:formatCode>#\ ##0\ \△</c:formatCode>
                <c:ptCount val="2"/>
                <c:pt idx="0">
                  <c:v>-7.0</c:v>
                </c:pt>
                <c:pt idx="1">
                  <c:v>-21.0</c:v>
                </c:pt>
              </c:numCache>
            </c:numRef>
          </c:xVal>
          <c:yVal>
            <c:numRef>
              <c:f>('Patient X'!$E$14,'Patient X'!$E$22)</c:f>
              <c:numCache>
                <c:formatCode>#\ ##0.00\ "𝛿"</c:formatCode>
                <c:ptCount val="2"/>
                <c:pt idx="0">
                  <c:v>0.0</c:v>
                </c:pt>
                <c:pt idx="1">
                  <c:v>2.5</c:v>
                </c:pt>
              </c:numCache>
            </c:numRef>
          </c:yVal>
          <c:smooth val="0"/>
        </c:ser>
        <c:ser>
          <c:idx val="4"/>
          <c:order val="1"/>
          <c:tx>
            <c:v>Flou Pos.</c:v>
          </c:tx>
          <c:spPr>
            <a:ln w="66675">
              <a:noFill/>
            </a:ln>
          </c:spPr>
          <c:marker>
            <c:symbol val="circle"/>
            <c:size val="13"/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('Patient X'!$C$17,'Patient X'!$C$25)</c:f>
              <c:numCache>
                <c:formatCode>#\ ##0\ \△</c:formatCode>
                <c:ptCount val="2"/>
                <c:pt idx="0">
                  <c:v>9.0</c:v>
                </c:pt>
                <c:pt idx="1">
                  <c:v>17.0</c:v>
                </c:pt>
              </c:numCache>
            </c:numRef>
          </c:xVal>
          <c:yVal>
            <c:numRef>
              <c:f>('Patient X'!$E$17,'Patient X'!$E$25)</c:f>
              <c:numCache>
                <c:formatCode>#\ ##0.00\ "𝛿"</c:formatCode>
                <c:ptCount val="2"/>
                <c:pt idx="0">
                  <c:v>0.0</c:v>
                </c:pt>
                <c:pt idx="1">
                  <c:v>2.5</c:v>
                </c:pt>
              </c:numCache>
            </c:numRef>
          </c:yVal>
          <c:smooth val="0"/>
        </c:ser>
        <c:ser>
          <c:idx val="5"/>
          <c:order val="2"/>
          <c:tx>
            <c:v>Bris Pos.</c:v>
          </c:tx>
          <c:spPr>
            <a:ln w="66675">
              <a:noFill/>
            </a:ln>
          </c:spPr>
          <c:marker>
            <c:symbol val="square"/>
            <c:size val="13"/>
          </c:marker>
          <c:trendline>
            <c:trendlineType val="linear"/>
            <c:dispRSqr val="0"/>
            <c:dispEq val="0"/>
          </c:trendline>
          <c:xVal>
            <c:numRef>
              <c:f>('Patient X'!$C$18,'Patient X'!$C$26)</c:f>
              <c:numCache>
                <c:formatCode>#\ ##0\ \△</c:formatCode>
                <c:ptCount val="2"/>
                <c:pt idx="0">
                  <c:v>19.0</c:v>
                </c:pt>
                <c:pt idx="1">
                  <c:v>21.0</c:v>
                </c:pt>
              </c:numCache>
            </c:numRef>
          </c:xVal>
          <c:yVal>
            <c:numRef>
              <c:f>('Patient X'!$E$18,'Patient X'!$E$26)</c:f>
              <c:numCache>
                <c:formatCode>#\ ##0.00\ "𝛿"</c:formatCode>
                <c:ptCount val="2"/>
                <c:pt idx="0">
                  <c:v>0.0</c:v>
                </c:pt>
                <c:pt idx="1">
                  <c:v>2.5</c:v>
                </c:pt>
              </c:numCache>
            </c:numRef>
          </c:yVal>
          <c:smooth val="0"/>
        </c:ser>
        <c:ser>
          <c:idx val="0"/>
          <c:order val="3"/>
          <c:tx>
            <c:v>Phorie</c:v>
          </c:tx>
          <c:spPr>
            <a:ln w="66675">
              <a:noFill/>
            </a:ln>
          </c:spPr>
          <c:marker>
            <c:symbol val="star"/>
            <c:size val="15"/>
          </c:marker>
          <c:trendline>
            <c:trendlineType val="linear"/>
            <c:dispRSqr val="0"/>
            <c:dispEq val="0"/>
          </c:trendline>
          <c:xVal>
            <c:numRef>
              <c:f>'Patient X'!$C$7:$C$8</c:f>
              <c:numCache>
                <c:formatCode>#\ ##0\ \△</c:formatCode>
                <c:ptCount val="2"/>
                <c:pt idx="0">
                  <c:v>0.0</c:v>
                </c:pt>
                <c:pt idx="1">
                  <c:v>-3.0</c:v>
                </c:pt>
              </c:numCache>
            </c:numRef>
          </c:xVal>
          <c:yVal>
            <c:numRef>
              <c:f>'Patient X'!$E$7:$E$8</c:f>
              <c:numCache>
                <c:formatCode>#\ ##0.00\ "𝛿"</c:formatCode>
                <c:ptCount val="2"/>
                <c:pt idx="0">
                  <c:v>0.0</c:v>
                </c:pt>
                <c:pt idx="1">
                  <c:v>2.5</c:v>
                </c:pt>
              </c:numCache>
            </c:numRef>
          </c:yVal>
          <c:smooth val="0"/>
        </c:ser>
        <c:ser>
          <c:idx val="7"/>
          <c:order val="4"/>
          <c:tx>
            <c:v>Conv. Requise</c:v>
          </c:tx>
          <c:spPr>
            <a:ln w="66675">
              <a:solidFill>
                <a:schemeClr val="accent2"/>
              </a:solidFill>
            </a:ln>
          </c:spPr>
          <c:marker>
            <c:symbol val="plus"/>
            <c:size val="13"/>
          </c:marker>
          <c:xVal>
            <c:numRef>
              <c:f>('Patient X'!$C$47,'Patient X'!$C$48)</c:f>
              <c:numCache>
                <c:formatCode>#\ ##0.0\ \△</c:formatCode>
                <c:ptCount val="2"/>
                <c:pt idx="0">
                  <c:v>14.63700234192037</c:v>
                </c:pt>
                <c:pt idx="1">
                  <c:v>1.243286254227173</c:v>
                </c:pt>
              </c:numCache>
            </c:numRef>
          </c:xVal>
          <c:yVal>
            <c:numRef>
              <c:f>('Patient X'!$E$47,'Patient X'!$E$48)</c:f>
              <c:numCache>
                <c:formatCode>#\ ##0.00\ "𝛿"</c:formatCode>
                <c:ptCount val="2"/>
                <c:pt idx="0">
                  <c:v>2.5</c:v>
                </c:pt>
                <c:pt idx="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816200"/>
        <c:axId val="2141821688"/>
      </c:scatterChart>
      <c:valAx>
        <c:axId val="2141816200"/>
        <c:scaling>
          <c:orientation val="minMax"/>
          <c:max val="30.0"/>
          <c:min val="-25.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Vergences (△)</a:t>
                </a:r>
              </a:p>
            </c:rich>
          </c:tx>
          <c:layout>
            <c:manualLayout>
              <c:xMode val="edge"/>
              <c:yMode val="edge"/>
              <c:x val="0.80947663933688"/>
              <c:y val="0.809482107811218"/>
            </c:manualLayout>
          </c:layout>
          <c:overlay val="0"/>
        </c:title>
        <c:numFmt formatCode="#\ ##0\ \△" sourceLinked="1"/>
        <c:majorTickMark val="out"/>
        <c:minorTickMark val="none"/>
        <c:tickLblPos val="nextTo"/>
        <c:crossAx val="2141821688"/>
        <c:crossesAt val="0.0"/>
        <c:crossBetween val="midCat"/>
        <c:majorUnit val="10.0"/>
        <c:minorUnit val="2.0"/>
      </c:valAx>
      <c:valAx>
        <c:axId val="2141821688"/>
        <c:scaling>
          <c:orientation val="minMax"/>
          <c:max val="3.0"/>
          <c:min val="-0.5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Demande accommodative (𝛿)</a:t>
                </a:r>
              </a:p>
            </c:rich>
          </c:tx>
          <c:layout/>
          <c:overlay val="0"/>
        </c:title>
        <c:numFmt formatCode="#\ ##0.00\ &quot;𝛿&quot;" sourceLinked="1"/>
        <c:majorTickMark val="out"/>
        <c:minorTickMark val="none"/>
        <c:tickLblPos val="nextTo"/>
        <c:crossAx val="2141816200"/>
        <c:crossesAt val="0.0"/>
        <c:crossBetween val="midCat"/>
        <c:majorUnit val="0.5"/>
        <c:minorUnit val="0.1"/>
      </c:valAx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0593309784220989"/>
          <c:y val="0.910439961627913"/>
          <c:w val="0.860471933985231"/>
          <c:h val="0.0599502550314313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3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Arial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139700</xdr:colOff>
      <xdr:row>0</xdr:row>
      <xdr:rowOff>292100</xdr:rowOff>
    </xdr:from>
    <xdr:to>
      <xdr:col>19</xdr:col>
      <xdr:colOff>647699</xdr:colOff>
      <xdr:row>24</xdr:row>
      <xdr:rowOff>139700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787400</xdr:colOff>
      <xdr:row>0</xdr:row>
      <xdr:rowOff>546100</xdr:rowOff>
    </xdr:to>
    <xdr:sp macro="" textlink="">
      <xdr:nvSpPr>
        <xdr:cNvPr id="3" name="ZoneTexte 2"/>
        <xdr:cNvSpPr txBox="1"/>
      </xdr:nvSpPr>
      <xdr:spPr>
        <a:xfrm>
          <a:off x="0" y="0"/>
          <a:ext cx="6819900" cy="54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0" u="sng"/>
            <a:t>Recommandations</a:t>
          </a:r>
          <a:r>
            <a:rPr lang="fr-FR" sz="1100" b="1"/>
            <a:t> :</a:t>
          </a:r>
        </a:p>
        <a:p>
          <a:r>
            <a:rPr lang="fr-FR" sz="1100"/>
            <a:t>- Le</a:t>
          </a:r>
          <a:r>
            <a:rPr lang="fr-FR" sz="1100" baseline="0"/>
            <a:t> signe de la valeur indique le sens de la phorie : négatif pour les exo, positif pour les éso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/Dropbox/BINOCULARIS/Congr&#232;s/2014:12%20AOP%20Paris/Analyse%20Graphique%20V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tient X"/>
      <sheetName val="MARZOUGUI I."/>
      <sheetName val="EL KOSTALI H."/>
      <sheetName val="QUIGNON A."/>
      <sheetName val="CHAOUCH S."/>
      <sheetName val="CZECHOWSKY O."/>
      <sheetName val="DUMONT A."/>
      <sheetName val="DESCAT M."/>
      <sheetName val="QUIGNON A. (2)"/>
      <sheetName val="CZECHOWSKY O. (2)"/>
      <sheetName val="DESCAT M. (2)"/>
    </sheetNames>
    <sheetDataSet>
      <sheetData sheetId="0">
        <row r="7">
          <cell r="C7">
            <v>0</v>
          </cell>
          <cell r="E7">
            <v>0</v>
          </cell>
        </row>
        <row r="8">
          <cell r="C8">
            <v>-3</v>
          </cell>
          <cell r="E8">
            <v>2.5</v>
          </cell>
        </row>
        <row r="14">
          <cell r="C14">
            <v>-7</v>
          </cell>
          <cell r="E14">
            <v>0</v>
          </cell>
        </row>
        <row r="17">
          <cell r="C17">
            <v>9</v>
          </cell>
          <cell r="E17">
            <v>0</v>
          </cell>
        </row>
        <row r="18">
          <cell r="C18">
            <v>19</v>
          </cell>
          <cell r="E18">
            <v>0</v>
          </cell>
        </row>
        <row r="22">
          <cell r="C22">
            <v>-21</v>
          </cell>
          <cell r="E22">
            <v>2.5</v>
          </cell>
        </row>
        <row r="25">
          <cell r="C25">
            <v>17</v>
          </cell>
          <cell r="E25">
            <v>2.5</v>
          </cell>
        </row>
        <row r="26">
          <cell r="C26">
            <v>21</v>
          </cell>
          <cell r="E26">
            <v>2.5</v>
          </cell>
        </row>
        <row r="60">
          <cell r="C60">
            <v>14.637002341920374</v>
          </cell>
          <cell r="E60">
            <v>2.5</v>
          </cell>
        </row>
        <row r="61">
          <cell r="C61">
            <v>1.2432862542271732</v>
          </cell>
          <cell r="E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topLeftCell="E20" workbookViewId="0">
      <selection activeCell="N42" sqref="N42"/>
    </sheetView>
  </sheetViews>
  <sheetFormatPr baseColWidth="10" defaultRowHeight="15" x14ac:dyDescent="0"/>
  <cols>
    <col min="1" max="1" width="5.42578125" customWidth="1"/>
    <col min="2" max="2" width="19.5703125" customWidth="1"/>
    <col min="12" max="12" width="7" customWidth="1"/>
    <col min="13" max="13" width="8.85546875" customWidth="1"/>
    <col min="14" max="14" width="8.140625" customWidth="1"/>
    <col min="15" max="15" width="9.42578125" customWidth="1"/>
    <col min="16" max="16" width="1.5703125" customWidth="1"/>
    <col min="17" max="17" width="7.85546875" customWidth="1"/>
    <col min="18" max="18" width="9" customWidth="1"/>
    <col min="19" max="19" width="7.7109375" customWidth="1"/>
    <col min="20" max="20" width="8.7109375" customWidth="1"/>
  </cols>
  <sheetData>
    <row r="1" spans="1:21" ht="83" customHeight="1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3"/>
      <c r="M1" s="1"/>
      <c r="N1" s="1"/>
      <c r="O1" s="1"/>
      <c r="P1" s="4" t="s">
        <v>0</v>
      </c>
      <c r="Q1" s="5" t="str">
        <f>C2</f>
        <v>Patient X</v>
      </c>
      <c r="R1" s="1"/>
      <c r="S1" s="4" t="s">
        <v>1</v>
      </c>
      <c r="T1" s="5">
        <f>G2</f>
        <v>20</v>
      </c>
      <c r="U1" s="1"/>
    </row>
    <row r="2" spans="1:21">
      <c r="A2" s="1"/>
      <c r="B2" s="6" t="s">
        <v>0</v>
      </c>
      <c r="C2" s="7" t="s">
        <v>2</v>
      </c>
      <c r="D2" s="5"/>
      <c r="E2" s="5"/>
      <c r="F2" s="6" t="s">
        <v>1</v>
      </c>
      <c r="G2" s="7">
        <v>20</v>
      </c>
      <c r="H2" s="5" t="s">
        <v>78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1"/>
      <c r="C3" s="8"/>
      <c r="D3" s="8"/>
      <c r="E3" s="9"/>
      <c r="F3" s="1"/>
      <c r="G3" s="1"/>
      <c r="H3" s="14" t="s">
        <v>21</v>
      </c>
      <c r="I3" s="14" t="s">
        <v>22</v>
      </c>
      <c r="J3" s="14" t="s">
        <v>23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6" t="s">
        <v>3</v>
      </c>
      <c r="C4" s="10">
        <v>6.25</v>
      </c>
      <c r="D4" s="11">
        <v>6.25</v>
      </c>
      <c r="E4" s="12">
        <v>1.25</v>
      </c>
      <c r="F4" s="1"/>
      <c r="G4" s="1"/>
      <c r="H4" s="20">
        <f>15-(0.25*$G$2)</f>
        <v>10</v>
      </c>
      <c r="I4" s="20">
        <f>18.5-(0.3*$G$2)</f>
        <v>12.5</v>
      </c>
      <c r="J4" s="20">
        <f>25-(0.4*$G$2)</f>
        <v>17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45">
      <c r="A5" s="1"/>
      <c r="B5" s="1"/>
      <c r="C5" s="13" t="s">
        <v>4</v>
      </c>
      <c r="D5" s="14" t="s">
        <v>5</v>
      </c>
      <c r="E5" s="15" t="s">
        <v>6</v>
      </c>
      <c r="F5" s="14" t="s">
        <v>7</v>
      </c>
      <c r="G5" s="14" t="s">
        <v>8</v>
      </c>
      <c r="H5" s="55" t="s">
        <v>35</v>
      </c>
      <c r="I5" s="56"/>
      <c r="J5" s="56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6" t="s">
        <v>9</v>
      </c>
      <c r="C6" s="8"/>
      <c r="D6" s="8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">
      <c r="A7" s="17" t="s">
        <v>10</v>
      </c>
      <c r="B7" s="6" t="s">
        <v>11</v>
      </c>
      <c r="C7" s="18">
        <v>0</v>
      </c>
      <c r="D7" s="19">
        <v>5</v>
      </c>
      <c r="E7" s="20">
        <v>0</v>
      </c>
      <c r="F7" s="21">
        <v>-1</v>
      </c>
      <c r="G7" s="22">
        <v>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23" t="s">
        <v>12</v>
      </c>
      <c r="B8" s="6" t="s">
        <v>11</v>
      </c>
      <c r="C8" s="18">
        <v>-3</v>
      </c>
      <c r="D8" s="19">
        <v>0.4</v>
      </c>
      <c r="E8" s="20">
        <v>2.5</v>
      </c>
      <c r="F8" s="21">
        <v>-3</v>
      </c>
      <c r="G8" s="22">
        <v>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2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6">
      <c r="A10" s="23"/>
      <c r="B10" s="25" t="s">
        <v>13</v>
      </c>
      <c r="C10" s="26">
        <v>1</v>
      </c>
      <c r="D10" s="19">
        <v>0.4</v>
      </c>
      <c r="E10" s="20">
        <v>2.5</v>
      </c>
      <c r="F10" s="21"/>
      <c r="G10" s="2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27"/>
      <c r="D11" s="28"/>
      <c r="E11" s="20"/>
      <c r="F11" s="21"/>
      <c r="G11" s="2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6" t="s">
        <v>14</v>
      </c>
      <c r="C12" s="8"/>
      <c r="D12" s="24"/>
      <c r="E12" s="20"/>
      <c r="F12" s="29"/>
      <c r="G12" s="3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31" t="s">
        <v>10</v>
      </c>
      <c r="B13" s="32" t="s">
        <v>15</v>
      </c>
      <c r="C13" s="8"/>
      <c r="D13" s="24"/>
      <c r="E13" s="20"/>
      <c r="F13" s="29"/>
      <c r="G13" s="3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33"/>
      <c r="B14" s="34" t="s">
        <v>16</v>
      </c>
      <c r="C14" s="18">
        <v>-7</v>
      </c>
      <c r="D14" s="19">
        <v>5</v>
      </c>
      <c r="E14" s="20">
        <v>0</v>
      </c>
      <c r="F14" s="21">
        <v>-7</v>
      </c>
      <c r="G14" s="22">
        <v>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33"/>
      <c r="B15" s="35"/>
      <c r="C15" s="36"/>
      <c r="D15" s="37"/>
      <c r="E15" s="38"/>
      <c r="F15" s="39"/>
      <c r="G15" s="4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33"/>
      <c r="B16" s="32" t="s">
        <v>17</v>
      </c>
      <c r="C16" s="41"/>
      <c r="D16" s="19"/>
      <c r="E16" s="20"/>
      <c r="F16" s="29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33"/>
      <c r="B17" s="34" t="s">
        <v>18</v>
      </c>
      <c r="C17" s="18">
        <v>9</v>
      </c>
      <c r="D17" s="19">
        <v>5</v>
      </c>
      <c r="E17" s="20">
        <v>0</v>
      </c>
      <c r="F17" s="21">
        <v>9</v>
      </c>
      <c r="G17" s="22">
        <v>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33"/>
      <c r="B18" s="34" t="s">
        <v>16</v>
      </c>
      <c r="C18" s="18">
        <v>19</v>
      </c>
      <c r="D18" s="19">
        <v>5</v>
      </c>
      <c r="E18" s="20">
        <v>0</v>
      </c>
      <c r="F18" s="21">
        <v>19</v>
      </c>
      <c r="G18" s="22">
        <v>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35"/>
      <c r="C19" s="36"/>
      <c r="D19" s="37"/>
      <c r="E19" s="38"/>
      <c r="F19" s="39"/>
      <c r="G19" s="4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31" t="s">
        <v>12</v>
      </c>
      <c r="B20" s="42" t="s">
        <v>15</v>
      </c>
      <c r="C20" s="41"/>
      <c r="D20" s="19"/>
      <c r="E20" s="20"/>
      <c r="F20" s="29"/>
      <c r="G20" s="3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33"/>
      <c r="B21" s="34" t="s">
        <v>18</v>
      </c>
      <c r="C21" s="18">
        <v>-13</v>
      </c>
      <c r="D21" s="19">
        <v>0.4</v>
      </c>
      <c r="E21" s="20">
        <v>2.5</v>
      </c>
      <c r="F21" s="21">
        <f>-13</f>
        <v>-13</v>
      </c>
      <c r="G21" s="22">
        <v>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33"/>
      <c r="B22" s="34" t="s">
        <v>16</v>
      </c>
      <c r="C22" s="18">
        <v>-21</v>
      </c>
      <c r="D22" s="19">
        <v>0.4</v>
      </c>
      <c r="E22" s="20">
        <v>2.5</v>
      </c>
      <c r="F22" s="21">
        <f>-21</f>
        <v>-21</v>
      </c>
      <c r="G22" s="22">
        <v>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33"/>
      <c r="B23" s="34"/>
      <c r="C23" s="36"/>
      <c r="D23" s="19"/>
      <c r="E23" s="20"/>
      <c r="F23" s="21"/>
      <c r="G23" s="2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33"/>
      <c r="B24" s="32" t="s">
        <v>17</v>
      </c>
      <c r="C24" s="41"/>
      <c r="D24" s="19"/>
      <c r="E24" s="20"/>
      <c r="F24" s="29"/>
      <c r="G24" s="3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33"/>
      <c r="B25" s="34" t="s">
        <v>18</v>
      </c>
      <c r="C25" s="18">
        <v>17</v>
      </c>
      <c r="D25" s="19">
        <v>0.4</v>
      </c>
      <c r="E25" s="20">
        <v>2.5</v>
      </c>
      <c r="F25" s="21">
        <v>17</v>
      </c>
      <c r="G25" s="22">
        <v>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33"/>
      <c r="B26" s="34" t="s">
        <v>16</v>
      </c>
      <c r="C26" s="18">
        <v>21</v>
      </c>
      <c r="D26" s="19">
        <v>0.4</v>
      </c>
      <c r="E26" s="20">
        <v>2.5</v>
      </c>
      <c r="F26" s="21">
        <v>21</v>
      </c>
      <c r="G26" s="22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/>
      <c r="B27" s="34"/>
      <c r="C27" s="36"/>
      <c r="D27" s="19"/>
      <c r="E27" s="20"/>
      <c r="F27" s="21"/>
      <c r="G27" s="22"/>
      <c r="H27" s="1"/>
      <c r="I27" s="1"/>
      <c r="J27" s="1"/>
      <c r="K27" s="1"/>
      <c r="L27" s="1"/>
      <c r="N27" s="6" t="s">
        <v>19</v>
      </c>
      <c r="O27" s="43">
        <f>ACsurA_Calc</f>
        <v>5.05</v>
      </c>
      <c r="P27" s="1"/>
      <c r="R27" s="6" t="s">
        <v>20</v>
      </c>
      <c r="S27" s="43">
        <f>ACsurA_Grad</f>
        <v>4</v>
      </c>
      <c r="T27" s="1"/>
      <c r="U27" s="1"/>
    </row>
    <row r="28" spans="1:21">
      <c r="A28" s="1"/>
      <c r="B28" s="44"/>
      <c r="C28" s="8"/>
      <c r="D28" s="19"/>
      <c r="E28" s="2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8">
      <c r="A29" s="1"/>
      <c r="B29" s="45" t="s">
        <v>43</v>
      </c>
      <c r="C29" s="8"/>
      <c r="D29" s="8"/>
      <c r="E29" s="9"/>
      <c r="F29" s="1"/>
      <c r="G29" s="1"/>
      <c r="H29" s="1"/>
      <c r="I29" s="1"/>
      <c r="J29" s="1"/>
      <c r="K29" s="1"/>
      <c r="L29" s="46" t="s">
        <v>24</v>
      </c>
      <c r="M29" s="47"/>
      <c r="N29" s="47"/>
      <c r="O29" s="47"/>
      <c r="P29" s="48"/>
      <c r="Q29" s="49" t="s">
        <v>25</v>
      </c>
      <c r="R29" s="47"/>
      <c r="S29" s="47"/>
      <c r="T29" s="47"/>
      <c r="U29" s="1"/>
    </row>
    <row r="30" spans="1:21">
      <c r="A30" s="1"/>
      <c r="B30" s="50" t="s">
        <v>44</v>
      </c>
      <c r="C30" s="62">
        <v>15</v>
      </c>
      <c r="D30" s="63">
        <v>15</v>
      </c>
      <c r="E30" s="64">
        <v>3</v>
      </c>
      <c r="F30" s="20"/>
      <c r="G30" s="61"/>
      <c r="H30" s="20"/>
      <c r="I30" s="1"/>
      <c r="J30" s="1"/>
      <c r="K30" s="1"/>
      <c r="L30" s="1"/>
      <c r="M30" s="1"/>
      <c r="N30" s="1"/>
      <c r="O30" s="1"/>
      <c r="P30" s="51"/>
      <c r="Q30" s="1"/>
      <c r="R30" s="1"/>
      <c r="S30" s="1"/>
      <c r="T30" s="1"/>
      <c r="U30" s="1"/>
    </row>
    <row r="31" spans="1:21">
      <c r="A31" s="1"/>
      <c r="B31" s="50" t="s">
        <v>45</v>
      </c>
      <c r="C31" s="57">
        <v>0</v>
      </c>
      <c r="D31" s="65" t="s">
        <v>46</v>
      </c>
      <c r="E31" s="9"/>
      <c r="F31" s="1"/>
      <c r="G31" s="1"/>
      <c r="H31" s="20"/>
      <c r="I31" s="1"/>
      <c r="J31" s="1"/>
      <c r="K31" s="1"/>
      <c r="L31" s="52" t="s">
        <v>26</v>
      </c>
      <c r="M31" s="18">
        <f>IF(ISBLANK(C_VL_Flou),"n.m.",C_VL_Flou)</f>
        <v>9</v>
      </c>
      <c r="N31" s="52" t="s">
        <v>27</v>
      </c>
      <c r="O31" s="18">
        <f>IF(ISBLANK(C_VL_Bris),"n.m.",C_VL_Bris)</f>
        <v>19</v>
      </c>
      <c r="P31" s="51"/>
      <c r="Q31" s="50" t="s">
        <v>28</v>
      </c>
      <c r="R31" s="53" t="s">
        <v>29</v>
      </c>
      <c r="S31" s="52" t="s">
        <v>30</v>
      </c>
      <c r="T31" s="54">
        <f>IF(ISBLANK(D_VL_Bris),"n.m.",D_VL_Bris)</f>
        <v>-7</v>
      </c>
      <c r="U31" s="1"/>
    </row>
    <row r="32" spans="1:21">
      <c r="A32" s="1"/>
      <c r="B32" s="50" t="s">
        <v>47</v>
      </c>
      <c r="C32" s="57">
        <v>0</v>
      </c>
      <c r="D32" s="65" t="s">
        <v>46</v>
      </c>
      <c r="E32" s="9"/>
      <c r="F32" s="1"/>
      <c r="G32" s="1"/>
      <c r="H32" s="1"/>
      <c r="I32" s="1"/>
      <c r="J32" s="1"/>
      <c r="K32" s="1"/>
      <c r="L32" s="52" t="s">
        <v>31</v>
      </c>
      <c r="M32" s="18">
        <f>IF(ISBLANK(C_VP_Flou),"n.m.",C_VP_Flou)</f>
        <v>17</v>
      </c>
      <c r="N32" s="52" t="s">
        <v>32</v>
      </c>
      <c r="O32" s="18">
        <f>IF(ISBLANK(C_VP_Bris),"n.m.",C_VP_Bris)</f>
        <v>21</v>
      </c>
      <c r="P32" s="51"/>
      <c r="Q32" s="52" t="s">
        <v>33</v>
      </c>
      <c r="R32" s="18">
        <f>IF(ISBLANK(D_VP_Flou),"n.m.",D_VP_Flou)</f>
        <v>-13</v>
      </c>
      <c r="S32" s="52" t="s">
        <v>34</v>
      </c>
      <c r="T32" s="54">
        <f>IF(ISBLANK(D_VP_Bris),"n.m.",D_VP_Bris)</f>
        <v>-21</v>
      </c>
      <c r="U32" s="1"/>
    </row>
    <row r="33" spans="1:21" ht="15" customHeight="1">
      <c r="A33" s="1"/>
      <c r="B33" s="1"/>
      <c r="C33" s="8"/>
      <c r="D33" s="8"/>
      <c r="E33" s="9"/>
      <c r="F33" s="1"/>
      <c r="G33" s="1"/>
      <c r="H33" s="1"/>
      <c r="I33" s="1"/>
      <c r="J33" s="1"/>
      <c r="K33" s="1"/>
      <c r="L33" s="1"/>
      <c r="M33" s="1"/>
      <c r="N33" s="50" t="s">
        <v>36</v>
      </c>
      <c r="O33" s="57" t="str">
        <f>IF(ISBLANK(DIFF_P2_?),"n.m.", IF((DIFF_P2_?&lt;=0),"NON","OUI"))</f>
        <v>NON</v>
      </c>
      <c r="P33" s="51"/>
      <c r="Q33" s="1"/>
      <c r="R33" s="1"/>
      <c r="S33" s="50" t="s">
        <v>37</v>
      </c>
      <c r="T33" s="57" t="str">
        <f>IF(ISBLANK(DIFF_M2_?),"n.m.", IF((DIFF_M2_?&lt;=0),"NON","OUI"))</f>
        <v>NON</v>
      </c>
      <c r="U33" s="1"/>
    </row>
    <row r="34" spans="1:21" ht="18">
      <c r="A34" s="1"/>
      <c r="B34" s="45" t="s">
        <v>48</v>
      </c>
      <c r="C34" s="8"/>
      <c r="D34" s="8" t="s">
        <v>49</v>
      </c>
      <c r="E34" s="66">
        <f>IF(ISBLANK(ACC_MAX_MOY),40,100/(0.45*ACC_MAX_MOY))</f>
        <v>17.777777777777779</v>
      </c>
      <c r="F34" s="1" t="s">
        <v>50</v>
      </c>
      <c r="G34" s="67">
        <f>IF(ISBLANK(ACC_MAX_MOY),2,(0.3*ACC_MAX_MOY)/2)</f>
        <v>1.875</v>
      </c>
      <c r="H34" s="1"/>
      <c r="I34" s="1"/>
      <c r="J34" s="1"/>
      <c r="K34" s="1"/>
      <c r="L34" s="1"/>
      <c r="M34" s="1"/>
      <c r="N34" s="50" t="s">
        <v>38</v>
      </c>
      <c r="O34" s="57" t="str">
        <f>IF(ISBLANK(DIFF_P12_?),"n.m.", IF((DIFF_P12_?&lt;=0),"NON","OUI"))</f>
        <v>NON</v>
      </c>
      <c r="P34" s="51"/>
      <c r="Q34" s="1"/>
      <c r="R34" s="1"/>
      <c r="S34" s="50" t="s">
        <v>39</v>
      </c>
      <c r="T34" s="57" t="str">
        <f>IF(ISBLANK(DIFF_M3_?),"n.m.", IF((DIFF_M3_?&lt;=0),"NON","OUI"))</f>
        <v>NON</v>
      </c>
      <c r="U34" s="1"/>
    </row>
    <row r="35" spans="1:21">
      <c r="A35" s="1"/>
      <c r="B35" s="50" t="s">
        <v>51</v>
      </c>
      <c r="C35" s="62">
        <v>10</v>
      </c>
      <c r="D35" s="63">
        <v>10</v>
      </c>
      <c r="E35" s="9"/>
      <c r="F35" s="1"/>
      <c r="G35" s="1"/>
      <c r="H35" s="1"/>
      <c r="I35" s="1"/>
      <c r="J35" s="1"/>
      <c r="K35" s="1"/>
      <c r="L35" s="1"/>
      <c r="M35" s="1"/>
      <c r="N35" s="50" t="s">
        <v>40</v>
      </c>
      <c r="O35" s="58">
        <f>IF(ISBLANK(PPC),"n.m.",PPC)</f>
        <v>5</v>
      </c>
      <c r="P35" s="51"/>
      <c r="Q35" s="1"/>
      <c r="U35" s="1"/>
    </row>
    <row r="36" spans="1:21">
      <c r="A36" s="1"/>
      <c r="B36" s="50" t="s">
        <v>52</v>
      </c>
      <c r="C36" s="57">
        <v>0</v>
      </c>
      <c r="D36" s="65" t="s">
        <v>46</v>
      </c>
      <c r="E36" s="9"/>
      <c r="F36" s="1"/>
      <c r="G36" s="1"/>
      <c r="H36" s="1"/>
      <c r="I36" s="1"/>
      <c r="J36" s="1"/>
      <c r="K36" s="1"/>
      <c r="L36" s="1"/>
      <c r="M36" s="1"/>
      <c r="P36" s="51"/>
      <c r="U36" s="1"/>
    </row>
    <row r="37" spans="1:21">
      <c r="A37" s="1"/>
      <c r="B37" s="50" t="s">
        <v>53</v>
      </c>
      <c r="C37" s="57">
        <v>0</v>
      </c>
      <c r="D37" s="65" t="s">
        <v>46</v>
      </c>
      <c r="E37" s="9"/>
      <c r="F37" s="1"/>
      <c r="G37" s="1"/>
      <c r="H37" s="1"/>
      <c r="I37" s="1"/>
      <c r="J37" s="1"/>
      <c r="K37" s="1"/>
      <c r="L37" s="59" t="s">
        <v>41</v>
      </c>
      <c r="M37" s="60" t="s">
        <v>42</v>
      </c>
      <c r="Q37" s="1"/>
      <c r="R37" s="1"/>
      <c r="S37" s="1"/>
      <c r="T37" s="1"/>
      <c r="U37" s="1"/>
    </row>
    <row r="38" spans="1:21">
      <c r="A38" s="1"/>
      <c r="B38" s="1"/>
      <c r="C38" s="8"/>
      <c r="D38" s="8"/>
      <c r="E38" s="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8">
      <c r="A39" s="1"/>
      <c r="B39" s="45" t="s">
        <v>54</v>
      </c>
      <c r="C39" s="8"/>
      <c r="D39" s="8"/>
      <c r="E39" s="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50" t="s">
        <v>40</v>
      </c>
      <c r="C40" s="58">
        <v>5</v>
      </c>
      <c r="D40" s="69">
        <v>5</v>
      </c>
      <c r="E40" s="70">
        <v>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8">
      <c r="A43" s="1"/>
      <c r="B43" s="45" t="s">
        <v>55</v>
      </c>
      <c r="C43" s="27"/>
      <c r="D43" s="19"/>
      <c r="E43" s="2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50" t="s">
        <v>19</v>
      </c>
      <c r="C44" s="43">
        <f>ABS(DIP+D44*(PHORIE_VP-PHORIE_VL))</f>
        <v>5.05</v>
      </c>
      <c r="D44" s="19">
        <v>0.4</v>
      </c>
      <c r="E44" s="20">
        <v>2.5</v>
      </c>
      <c r="F44" s="71">
        <v>6</v>
      </c>
      <c r="G44" s="72">
        <v>2</v>
      </c>
      <c r="H44" s="73" t="s">
        <v>56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6">
      <c r="A45" s="1"/>
      <c r="B45" s="50" t="s">
        <v>20</v>
      </c>
      <c r="C45" s="43">
        <f>ABS(MAX(PHORIE_VP,PHORIE_VP_GRAD_N)-MIN(PHORIE_VP,PHORIE_VP_GRAD_N))</f>
        <v>4</v>
      </c>
      <c r="D45" s="19">
        <v>0.4</v>
      </c>
      <c r="E45" s="20">
        <v>2.5</v>
      </c>
      <c r="F45" s="71">
        <v>4</v>
      </c>
      <c r="G45" s="72">
        <v>2</v>
      </c>
      <c r="H45" s="73" t="s">
        <v>57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8">
      <c r="A46" s="1"/>
      <c r="B46" s="45"/>
      <c r="C46" s="27"/>
      <c r="D46" s="19"/>
      <c r="E46" s="2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6" t="s">
        <v>58</v>
      </c>
      <c r="C47" s="74">
        <f>(100*DIP)/(D47*100+2.7)</f>
        <v>14.637002341920374</v>
      </c>
      <c r="D47" s="19">
        <v>0.4</v>
      </c>
      <c r="E47" s="20">
        <v>2.5</v>
      </c>
      <c r="F47" s="75" t="s">
        <v>59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68"/>
      <c r="T47" s="1"/>
      <c r="U47" s="1"/>
    </row>
    <row r="48" spans="1:21">
      <c r="A48" s="1"/>
      <c r="B48" s="1"/>
      <c r="C48" s="74">
        <f>(100*DIP)/(D48*100+2.7)</f>
        <v>1.2432862542271732</v>
      </c>
      <c r="D48" s="19">
        <v>5</v>
      </c>
      <c r="E48" s="20"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76" t="s">
        <v>60</v>
      </c>
      <c r="C49" s="27"/>
      <c r="D49" s="19"/>
      <c r="E49" s="2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44" t="s">
        <v>61</v>
      </c>
      <c r="C50" s="77">
        <f>C_VL_Flou-D_VL_Bris</f>
        <v>16</v>
      </c>
      <c r="D50" s="19">
        <v>5</v>
      </c>
      <c r="E50" s="20">
        <v>0</v>
      </c>
      <c r="F50" s="8" t="s">
        <v>62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44" t="s">
        <v>63</v>
      </c>
      <c r="C51" s="77">
        <f>C_VL_Bris-D_VL_Bris</f>
        <v>26</v>
      </c>
      <c r="D51" s="19">
        <v>5</v>
      </c>
      <c r="E51" s="20">
        <v>0</v>
      </c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44" t="s">
        <v>64</v>
      </c>
      <c r="C52" s="77">
        <f>C_VP_Flou-D_VP_Flou</f>
        <v>30</v>
      </c>
      <c r="D52" s="19">
        <v>0.4</v>
      </c>
      <c r="E52" s="20">
        <v>2.5</v>
      </c>
      <c r="F52" s="8" t="s">
        <v>65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44" t="s">
        <v>66</v>
      </c>
      <c r="C53" s="77">
        <f>C_VP_Bris-D_VP_Bris</f>
        <v>42</v>
      </c>
      <c r="D53" s="19">
        <v>0.4</v>
      </c>
      <c r="E53" s="20">
        <v>2.5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8"/>
      <c r="D54" s="19"/>
      <c r="E54" s="2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78" t="s">
        <v>67</v>
      </c>
      <c r="C55" s="75" t="s">
        <v>68</v>
      </c>
      <c r="D55" s="19"/>
      <c r="E55" s="20"/>
      <c r="F55" s="7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44" t="s">
        <v>69</v>
      </c>
      <c r="C56" s="80">
        <f>D_VL_Bris+(ZBSN_VL/3)</f>
        <v>-1.666666666666667</v>
      </c>
      <c r="D56" s="19">
        <v>5</v>
      </c>
      <c r="E56" s="20">
        <v>0</v>
      </c>
      <c r="F56" s="81">
        <f>C_VL_Flou-(ZBSN_VL/3)</f>
        <v>3.666666666666667</v>
      </c>
      <c r="G56" s="19">
        <v>5</v>
      </c>
      <c r="H56" s="20">
        <v>0</v>
      </c>
      <c r="I56" s="82" t="str">
        <f>IF(PHORIE_VL&gt;Confort_VL_max,"NON VÉRIFIÉ",IF(PHORIE_VL&lt;Confort_VL_min,"NON VÉRIFIÉ", "VÉRIFIÉ"))</f>
        <v>VÉRIFIÉ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44" t="s">
        <v>70</v>
      </c>
      <c r="C57" s="80">
        <f>D_VP_Flou+(ZBSN_VP/3)</f>
        <v>-3</v>
      </c>
      <c r="D57" s="19">
        <v>0.4</v>
      </c>
      <c r="E57" s="20">
        <v>2.5</v>
      </c>
      <c r="F57" s="81">
        <f>C_VP_Flou-(ZBSN_VP/3)</f>
        <v>7</v>
      </c>
      <c r="G57" s="19">
        <v>0.4</v>
      </c>
      <c r="H57" s="20">
        <v>2.5</v>
      </c>
      <c r="I57" s="82" t="str">
        <f>IF(PHORIE_VP&gt;Confort_VP_max,"NON VÉRIFIÉ",IF(PHORIE_VP&lt;Confort_VP_min,"NON VÉRIFIÉ", "VÉRIFIÉ"))</f>
        <v>VÉRIFIÉ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75" t="s">
        <v>71</v>
      </c>
      <c r="C58" s="8"/>
      <c r="D58" s="8"/>
      <c r="E58" s="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44" t="s">
        <v>72</v>
      </c>
      <c r="C59" s="80">
        <f>MAX(0,  IF(ABS(D_VP_Flou)&gt;C_VP_Flou,(0.333*ABS(D_VP_Flou))-(0.666*C_VP_Flou),(0.333*C_VP_Flou)-(0.666*ABS(D_VP_Flou))))</f>
        <v>0</v>
      </c>
      <c r="D59" s="82" t="str">
        <f>IF(PHORIE_VP&gt;0,"Base Ext.","Base Int.")</f>
        <v>Base Int.</v>
      </c>
      <c r="E59" s="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8"/>
      <c r="D60" s="8"/>
      <c r="E60" s="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78" t="s">
        <v>73</v>
      </c>
      <c r="C61" s="75" t="s">
        <v>74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44" t="s">
        <v>75</v>
      </c>
      <c r="C62" s="82" t="str">
        <f>IF(PHORIE_VL&lt;0,IF(ABS(PHORIE_VL)&lt;=(C_VL_Flou/2),"VÉRIFIÉ","NON VÉRIFIÉ"),IF(PHORIE_VL&lt;=(ABS(D_VL_Bris)/2),"VÉRIFIÉ","NON VÉRIFIÉ"))</f>
        <v>VÉRIFIÉ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44" t="s">
        <v>76</v>
      </c>
      <c r="C63" s="82" t="str">
        <f>IF(PHORIE_VP&lt;0,IF(ABS(PHORIE_VP)&lt;=(C_VP_Flou/2),"VÉRIFIÉ","NON VÉRIFIÉ"),IF(PHORIE_VP&lt;=(ABS(D_VP_Flou)/2),"VÉRIFIÉ","NON VÉRIFIÉ"))</f>
        <v>VÉRIFIÉ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75" t="s">
        <v>77</v>
      </c>
      <c r="C64" s="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44" t="s">
        <v>72</v>
      </c>
      <c r="C65" s="80">
        <f>MAX(0,IF(PHORIE_VP&lt;0,(0.667*ABS(PHORIE_VP))-(0.333*C_VP_Flou),(0.667*PHORIE_VP)-(0.333*D_VP_Flou)))</f>
        <v>0</v>
      </c>
      <c r="D65" s="82" t="str">
        <f>IF(PHORIE_VP&gt;0,"Base Ext.","Base Int.")</f>
        <v>Base Int.</v>
      </c>
      <c r="E65" s="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8"/>
      <c r="D75" s="8"/>
      <c r="E75" s="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</sheetData>
  <mergeCells count="7">
    <mergeCell ref="H5:J5"/>
    <mergeCell ref="B1:H1"/>
    <mergeCell ref="A8:A10"/>
    <mergeCell ref="A13:A18"/>
    <mergeCell ref="A20:A26"/>
    <mergeCell ref="L29:P29"/>
    <mergeCell ref="Q29:T29"/>
  </mergeCells>
  <phoneticPr fontId="22" type="noConversion"/>
  <conditionalFormatting sqref="I56">
    <cfRule type="containsText" dxfId="37" priority="40" operator="containsText" text="NON">
      <formula>NOT(ISERROR(SEARCH("NON",I56)))</formula>
    </cfRule>
  </conditionalFormatting>
  <conditionalFormatting sqref="I57">
    <cfRule type="containsText" dxfId="36" priority="39" operator="containsText" text="NON">
      <formula>NOT(ISERROR(SEARCH("NON",I57)))</formula>
    </cfRule>
  </conditionalFormatting>
  <conditionalFormatting sqref="C62">
    <cfRule type="containsText" dxfId="35" priority="38" operator="containsText" text="NON">
      <formula>NOT(ISERROR(SEARCH("NON",C62)))</formula>
    </cfRule>
  </conditionalFormatting>
  <conditionalFormatting sqref="C63">
    <cfRule type="containsText" dxfId="34" priority="37" operator="containsText" text="NON">
      <formula>NOT(ISERROR(SEARCH("NON",C63)))</formula>
    </cfRule>
  </conditionalFormatting>
  <conditionalFormatting sqref="C7">
    <cfRule type="cellIs" dxfId="33" priority="36" operator="notBetween">
      <formula>$F$7-$G$7</formula>
      <formula>$F$7+$G$7</formula>
    </cfRule>
  </conditionalFormatting>
  <conditionalFormatting sqref="C8 C11">
    <cfRule type="cellIs" dxfId="32" priority="35" operator="notBetween">
      <formula>$F$8-$G$8</formula>
      <formula>$F$8+$G$8</formula>
    </cfRule>
  </conditionalFormatting>
  <conditionalFormatting sqref="C14">
    <cfRule type="cellIs" dxfId="31" priority="34" operator="notBetween">
      <formula>$F$14-$G$14</formula>
      <formula>$F$14+$G$14</formula>
    </cfRule>
  </conditionalFormatting>
  <conditionalFormatting sqref="C15">
    <cfRule type="cellIs" dxfId="30" priority="33" operator="notBetween">
      <formula>$F$15-$G$15</formula>
      <formula>$F$15+$G$15</formula>
    </cfRule>
  </conditionalFormatting>
  <conditionalFormatting sqref="C17">
    <cfRule type="cellIs" dxfId="29" priority="32" operator="notBetween">
      <formula>$F$17-$G$17</formula>
      <formula>$F$17+$G$17</formula>
    </cfRule>
  </conditionalFormatting>
  <conditionalFormatting sqref="C18">
    <cfRule type="cellIs" dxfId="28" priority="31" operator="lessThan">
      <formula>$F$18-$G$18</formula>
    </cfRule>
  </conditionalFormatting>
  <conditionalFormatting sqref="C19">
    <cfRule type="cellIs" dxfId="27" priority="30" operator="notBetween">
      <formula>$F$19-$G$19</formula>
      <formula>$F$19+$G$19</formula>
    </cfRule>
  </conditionalFormatting>
  <conditionalFormatting sqref="C21">
    <cfRule type="cellIs" dxfId="26" priority="29" operator="notBetween">
      <formula>$F$21-$G$21</formula>
      <formula>$F$21+$G$21</formula>
    </cfRule>
  </conditionalFormatting>
  <conditionalFormatting sqref="C22">
    <cfRule type="cellIs" dxfId="25" priority="28" operator="notBetween">
      <formula>$F$22-$G$22</formula>
      <formula>$F$22+$G$22</formula>
    </cfRule>
  </conditionalFormatting>
  <conditionalFormatting sqref="C23">
    <cfRule type="cellIs" dxfId="24" priority="27" operator="notBetween">
      <formula>$F$23-$G$23</formula>
      <formula>$F$23+$G$23</formula>
    </cfRule>
  </conditionalFormatting>
  <conditionalFormatting sqref="C25">
    <cfRule type="cellIs" dxfId="23" priority="26" operator="notBetween">
      <formula>$F$25-$G$25</formula>
      <formula>$F$25+$G$25</formula>
    </cfRule>
  </conditionalFormatting>
  <conditionalFormatting sqref="C26">
    <cfRule type="cellIs" dxfId="22" priority="25" operator="lessThan">
      <formula>$F$26-$G$26</formula>
    </cfRule>
  </conditionalFormatting>
  <conditionalFormatting sqref="C27">
    <cfRule type="cellIs" dxfId="21" priority="24" operator="notBetween">
      <formula>$F$27-$G$27</formula>
      <formula>$F$27+$G$27</formula>
    </cfRule>
  </conditionalFormatting>
  <conditionalFormatting sqref="C44 O27 S27">
    <cfRule type="cellIs" dxfId="20" priority="23" operator="notBetween">
      <formula>$F$44-$G$44</formula>
      <formula>$F$44+$G$44</formula>
    </cfRule>
  </conditionalFormatting>
  <conditionalFormatting sqref="C45">
    <cfRule type="cellIs" dxfId="19" priority="22" operator="notBetween">
      <formula>$F$44-$G$44</formula>
      <formula>$F$44+$G$44</formula>
    </cfRule>
  </conditionalFormatting>
  <conditionalFormatting sqref="C4">
    <cfRule type="cellIs" dxfId="18" priority="41" operator="notBetween">
      <formula>$D$4-$E$4</formula>
      <formula>$D$4+$E$4</formula>
    </cfRule>
  </conditionalFormatting>
  <conditionalFormatting sqref="C65">
    <cfRule type="containsText" dxfId="17" priority="21" operator="containsText" text="NON">
      <formula>NOT(ISERROR(SEARCH("NON",C65)))</formula>
    </cfRule>
  </conditionalFormatting>
  <conditionalFormatting sqref="D65">
    <cfRule type="containsText" dxfId="16" priority="20" operator="containsText" text="NON">
      <formula>NOT(ISERROR(SEARCH("NON",D65)))</formula>
    </cfRule>
  </conditionalFormatting>
  <conditionalFormatting sqref="C59">
    <cfRule type="containsText" dxfId="15" priority="19" operator="containsText" text="NON">
      <formula>NOT(ISERROR(SEARCH("NON",C59)))</formula>
    </cfRule>
  </conditionalFormatting>
  <conditionalFormatting sqref="D59">
    <cfRule type="containsText" dxfId="14" priority="18" operator="containsText" text="NON">
      <formula>NOT(ISERROR(SEARCH("NON",D59)))</formula>
    </cfRule>
  </conditionalFormatting>
  <conditionalFormatting sqref="C30:C32">
    <cfRule type="cellIs" dxfId="13" priority="17" operator="lessThan">
      <formula>$D$30-$E$30</formula>
    </cfRule>
  </conditionalFormatting>
  <conditionalFormatting sqref="C35:C37">
    <cfRule type="cellIs" dxfId="12" priority="16" operator="lessThan">
      <formula>$D$35</formula>
    </cfRule>
  </conditionalFormatting>
  <conditionalFormatting sqref="C40 O35">
    <cfRule type="cellIs" dxfId="11" priority="15" operator="notBetween">
      <formula>$D$40-$E$40</formula>
      <formula>$D$40+$E$40</formula>
    </cfRule>
  </conditionalFormatting>
  <conditionalFormatting sqref="M31">
    <cfRule type="cellIs" dxfId="10" priority="14" operator="notBetween">
      <formula>$F$17-$G$17</formula>
      <formula>$F$17+$G$17</formula>
    </cfRule>
  </conditionalFormatting>
  <conditionalFormatting sqref="O31">
    <cfRule type="cellIs" dxfId="9" priority="13" operator="lessThan">
      <formula>$F$18-$G$18</formula>
    </cfRule>
  </conditionalFormatting>
  <conditionalFormatting sqref="T31">
    <cfRule type="cellIs" dxfId="8" priority="12" operator="notBetween">
      <formula>$F$14-$G$14</formula>
      <formula>$F$14+$G$14</formula>
    </cfRule>
  </conditionalFormatting>
  <conditionalFormatting sqref="M32">
    <cfRule type="cellIs" dxfId="7" priority="11" operator="notBetween">
      <formula>$F$25-$G$25</formula>
      <formula>$F$25+$G$25</formula>
    </cfRule>
  </conditionalFormatting>
  <conditionalFormatting sqref="O32">
    <cfRule type="cellIs" dxfId="6" priority="10" operator="lessThan">
      <formula>$F$26-$G$26</formula>
    </cfRule>
  </conditionalFormatting>
  <conditionalFormatting sqref="R32">
    <cfRule type="cellIs" dxfId="5" priority="9" operator="notBetween">
      <formula>$F$21-$G$21</formula>
      <formula>$F$21+$G$21</formula>
    </cfRule>
  </conditionalFormatting>
  <conditionalFormatting sqref="T32">
    <cfRule type="cellIs" dxfId="4" priority="8" operator="notBetween">
      <formula>$F$22-$G$22</formula>
      <formula>$F$22+$G$22</formula>
    </cfRule>
  </conditionalFormatting>
  <conditionalFormatting sqref="O34">
    <cfRule type="cellIs" dxfId="3" priority="7" operator="equal">
      <formula>"OUI"</formula>
    </cfRule>
  </conditionalFormatting>
  <conditionalFormatting sqref="T34">
    <cfRule type="cellIs" dxfId="2" priority="6" operator="equal">
      <formula>"OUI"</formula>
    </cfRule>
  </conditionalFormatting>
  <conditionalFormatting sqref="O33">
    <cfRule type="cellIs" dxfId="1" priority="5" operator="equal">
      <formula>"OUI"</formula>
    </cfRule>
  </conditionalFormatting>
  <conditionalFormatting sqref="T33">
    <cfRule type="cellIs" dxfId="0" priority="4" operator="equal">
      <formula>"OUI"</formula>
    </cfRule>
  </conditionalFormatting>
  <pageMargins left="0.75000000000000011" right="0.75000000000000011" top="1" bottom="1" header="0.5" footer="0.5"/>
  <pageSetup paperSize="9" orientation="portrait" horizontalDpi="4294967292" verticalDpi="4294967292"/>
  <headerFooter>
    <oddHeader>&amp;L&amp;"Calibri,Gras"&amp;K000000SELARL BINOCULARIS_x000D_&amp;"Calibri,Normal"15 rue Léonard de Vinci_x000D_91300 MASSY_x000D_01 64 47 56 88&amp;R&amp;K000000Le &amp;D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Patient X</vt:lpstr>
    </vt:vector>
  </TitlesOfParts>
  <Manager/>
  <Company>BINOCULARIS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ANALYSE GRAPHIQUE PHORIES</dc:title>
  <dc:subject/>
  <dc:creator>Marc FAUVEAU</dc:creator>
  <cp:keywords/>
  <dc:description/>
  <cp:lastModifiedBy>MaF</cp:lastModifiedBy>
  <cp:lastPrinted>2014-12-08T14:23:48Z</cp:lastPrinted>
  <dcterms:created xsi:type="dcterms:W3CDTF">2014-12-08T14:10:48Z</dcterms:created>
  <dcterms:modified xsi:type="dcterms:W3CDTF">2014-12-08T14:24:17Z</dcterms:modified>
  <cp:category/>
</cp:coreProperties>
</file>